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faldvarme.sharepoint.com/sites/KonverteringSkovbyStorringogStjaer/Delte dokumenter/05 Salg/Beregningsmodeller/"/>
    </mc:Choice>
  </mc:AlternateContent>
  <xr:revisionPtr revIDLastSave="35" documentId="8_{0D1C6EB0-EF6F-48D7-B4D6-5B3735222281}" xr6:coauthVersionLast="47" xr6:coauthVersionMax="47" xr10:uidLastSave="{0DBFB5EC-79C9-42A3-94DA-E0447704F0F1}"/>
  <bookViews>
    <workbookView xWindow="-120" yWindow="-120" windowWidth="29040" windowHeight="15840" xr2:uid="{B02EDF19-1220-4754-94B8-919B8BCFDE52}"/>
  </bookViews>
  <sheets>
    <sheet name="Beregn Faste Bidrag" sheetId="1" r:id="rId1"/>
    <sheet name="Stamda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F18" i="1"/>
  <c r="B29" i="2"/>
  <c r="B28" i="2"/>
  <c r="B27" i="2"/>
  <c r="B26" i="2"/>
  <c r="B18" i="2"/>
  <c r="B22" i="2" s="1"/>
  <c r="G11" i="1"/>
  <c r="K11" i="1" s="1"/>
  <c r="C5" i="1"/>
  <c r="G12" i="1" s="1"/>
  <c r="K12" i="1" l="1"/>
  <c r="F18" i="2"/>
  <c r="F25" i="2" s="1"/>
  <c r="F28" i="2" s="1"/>
  <c r="B20" i="2"/>
  <c r="B19" i="2"/>
  <c r="B21" i="2"/>
  <c r="F20" i="2" l="1"/>
  <c r="F26" i="2"/>
  <c r="F21" i="2"/>
  <c r="F29" i="2"/>
  <c r="F22" i="2"/>
  <c r="F27" i="2"/>
  <c r="F19" i="2"/>
  <c r="F23" i="2" l="1"/>
  <c r="F30" i="2"/>
  <c r="G13" i="1" s="1"/>
  <c r="G21" i="1" s="1"/>
  <c r="K13" i="1" l="1"/>
  <c r="K21" i="1" s="1"/>
</calcChain>
</file>

<file path=xl/sharedStrings.xml><?xml version="1.0" encoding="utf-8"?>
<sst xmlns="http://schemas.openxmlformats.org/spreadsheetml/2006/main" count="80" uniqueCount="46">
  <si>
    <t>Konverteringsberegner, Skovby, Storring og Stjær</t>
  </si>
  <si>
    <t>Beboet areal</t>
  </si>
  <si>
    <t>m2</t>
  </si>
  <si>
    <t>Kælder og andet ikke beboet</t>
  </si>
  <si>
    <t>Opvarmet areal</t>
  </si>
  <si>
    <t>Ja</t>
  </si>
  <si>
    <t>Konverteringsbidrag løbetid</t>
  </si>
  <si>
    <t>år</t>
  </si>
  <si>
    <t>Nej</t>
  </si>
  <si>
    <t>Lavenergi (BR10 LE2015 ell. Bedre)</t>
  </si>
  <si>
    <t>Fjernvarme Basis</t>
  </si>
  <si>
    <t>Fjernvarme Plus</t>
  </si>
  <si>
    <t>Abonnement</t>
  </si>
  <si>
    <t>kr/år</t>
  </si>
  <si>
    <t>Effektbidrag</t>
  </si>
  <si>
    <t xml:space="preserve">Konverteringsbidraget betales i </t>
  </si>
  <si>
    <t>Konverteringsbidrag</t>
  </si>
  <si>
    <t xml:space="preserve"> år</t>
  </si>
  <si>
    <t>Konverteringsbidrag betales ved tilslutning</t>
  </si>
  <si>
    <t>FJV Plus</t>
  </si>
  <si>
    <t>kr./år</t>
  </si>
  <si>
    <t>Faste bidrag</t>
  </si>
  <si>
    <t>HUSK AT DER SKAL TILLÆGGES FORBRUG</t>
  </si>
  <si>
    <t>BEMÆRK</t>
  </si>
  <si>
    <t>Beregning er udelukkende vejledende og Kredsløb kan ikke holdes ansvarlig for afvigelser fra beregning</t>
  </si>
  <si>
    <t>grønne felter er datainput felter</t>
  </si>
  <si>
    <t>FJV stamdata</t>
  </si>
  <si>
    <t>(priser pr. 1/1-2022)</t>
  </si>
  <si>
    <t>Konverteringsbidrag pr. 10-10-2022</t>
  </si>
  <si>
    <t>Effektbidrag Norm.</t>
  </si>
  <si>
    <t>kr/m2/år</t>
  </si>
  <si>
    <t>Effektbidrag LE</t>
  </si>
  <si>
    <t xml:space="preserve">Forbrugsbidrag </t>
  </si>
  <si>
    <t>kr/kWh/år</t>
  </si>
  <si>
    <t>kr/md</t>
  </si>
  <si>
    <t>D&amp;V FJV</t>
  </si>
  <si>
    <t>(Energisstyrelsens teknologikatalog)</t>
  </si>
  <si>
    <t>Faste Bidrag</t>
  </si>
  <si>
    <t>Konverteringsbidrag 30år</t>
  </si>
  <si>
    <t>Rabat</t>
  </si>
  <si>
    <t>0 - 150m2</t>
  </si>
  <si>
    <t>150-200m2</t>
  </si>
  <si>
    <t>200-250m2</t>
  </si>
  <si>
    <t>250- ?</t>
  </si>
  <si>
    <t>Konverteringsbidrag 20år</t>
  </si>
  <si>
    <t>NB! 0 år i løbetid = betaling af konverteringsbidrag som engangsbeløb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</si>
</sst>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 tint="0.499984740745262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  <xf numFmtId="0" fontId="1" fillId="0" borderId="0" xfId="0" applyFont="1"/>
    <xf numFmtId="0" fontId="0" fillId="3" borderId="0" xfId="0" applyFill="1"/>
    <xf numFmtId="2" fontId="0" fillId="0" borderId="0" xfId="0" applyNumberFormat="1"/>
    <xf numFmtId="9" fontId="0" fillId="0" borderId="0" xfId="0" applyNumberFormat="1"/>
    <xf numFmtId="2" fontId="0" fillId="4" borderId="0" xfId="0" applyNumberFormat="1" applyFill="1"/>
    <xf numFmtId="0" fontId="0" fillId="0" borderId="0" xfId="0" quotePrefix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24</xdr:row>
      <xdr:rowOff>171450</xdr:rowOff>
    </xdr:from>
    <xdr:to>
      <xdr:col>12</xdr:col>
      <xdr:colOff>600075</xdr:colOff>
      <xdr:row>26</xdr:row>
      <xdr:rowOff>95250</xdr:rowOff>
    </xdr:to>
    <xdr:pic>
      <xdr:nvPicPr>
        <xdr:cNvPr id="2" name="Billede 7">
          <a:extLst>
            <a:ext uri="{FF2B5EF4-FFF2-40B4-BE49-F238E27FC236}">
              <a16:creationId xmlns:a16="http://schemas.microsoft.com/office/drawing/2014/main" id="{5517D3CD-95F3-4867-B617-62F35919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4686300"/>
          <a:ext cx="1590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114300</xdr:rowOff>
    </xdr:from>
    <xdr:to>
      <xdr:col>0</xdr:col>
      <xdr:colOff>1676401</xdr:colOff>
      <xdr:row>2</xdr:row>
      <xdr:rowOff>38100</xdr:rowOff>
    </xdr:to>
    <xdr:pic>
      <xdr:nvPicPr>
        <xdr:cNvPr id="2" name="Billede 7">
          <a:extLst>
            <a:ext uri="{FF2B5EF4-FFF2-40B4-BE49-F238E27FC236}">
              <a16:creationId xmlns:a16="http://schemas.microsoft.com/office/drawing/2014/main" id="{C0D404B5-8473-4ED3-9A54-24A123BB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14300"/>
          <a:ext cx="15621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4BBA-DD60-4FC8-9A35-CB1B93E23BE1}">
  <dimension ref="A1:O29"/>
  <sheetViews>
    <sheetView tabSelected="1" workbookViewId="0">
      <selection activeCell="N24" sqref="N24"/>
    </sheetView>
  </sheetViews>
  <sheetFormatPr defaultRowHeight="14.25" x14ac:dyDescent="0.2"/>
  <cols>
    <col min="1" max="1" width="6.125" customWidth="1"/>
    <col min="2" max="2" width="44.125" customWidth="1"/>
    <col min="5" max="5" width="1.875" customWidth="1"/>
    <col min="6" max="6" width="18" bestFit="1" customWidth="1"/>
    <col min="7" max="7" width="9.125" customWidth="1"/>
    <col min="9" max="9" width="3.375" customWidth="1"/>
    <col min="10" max="10" width="17.375" bestFit="1" customWidth="1"/>
    <col min="11" max="11" width="9.875" customWidth="1"/>
    <col min="15" max="15" width="9" hidden="1" customWidth="1"/>
  </cols>
  <sheetData>
    <row r="1" spans="1:15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5" x14ac:dyDescent="0.2">
      <c r="B3" t="s">
        <v>1</v>
      </c>
      <c r="C3" s="3">
        <v>130</v>
      </c>
      <c r="D3" t="s">
        <v>2</v>
      </c>
    </row>
    <row r="4" spans="1:15" x14ac:dyDescent="0.2">
      <c r="B4" t="s">
        <v>3</v>
      </c>
      <c r="C4" s="3">
        <v>0</v>
      </c>
      <c r="D4" t="s">
        <v>2</v>
      </c>
    </row>
    <row r="5" spans="1:15" x14ac:dyDescent="0.2">
      <c r="B5" t="s">
        <v>4</v>
      </c>
      <c r="C5">
        <f>C3+(0.25*C4)</f>
        <v>130</v>
      </c>
      <c r="D5" t="s">
        <v>2</v>
      </c>
      <c r="O5" t="s">
        <v>5</v>
      </c>
    </row>
    <row r="6" spans="1:15" x14ac:dyDescent="0.2">
      <c r="B6" t="s">
        <v>6</v>
      </c>
      <c r="C6" s="4">
        <v>30</v>
      </c>
      <c r="D6" t="s">
        <v>7</v>
      </c>
      <c r="O6" t="s">
        <v>8</v>
      </c>
    </row>
    <row r="7" spans="1:15" x14ac:dyDescent="0.2">
      <c r="B7" t="s">
        <v>9</v>
      </c>
      <c r="C7" s="4" t="s">
        <v>8</v>
      </c>
    </row>
    <row r="8" spans="1:15" x14ac:dyDescent="0.2">
      <c r="O8">
        <v>20</v>
      </c>
    </row>
    <row r="9" spans="1:15" ht="15.75" x14ac:dyDescent="0.25">
      <c r="B9" s="16" t="s">
        <v>45</v>
      </c>
      <c r="F9" s="5" t="s">
        <v>10</v>
      </c>
      <c r="G9" s="5"/>
      <c r="H9" s="5"/>
      <c r="I9" s="5"/>
      <c r="J9" s="5" t="s">
        <v>11</v>
      </c>
      <c r="K9" s="5"/>
      <c r="L9" s="5"/>
      <c r="M9" s="5"/>
      <c r="O9">
        <v>30</v>
      </c>
    </row>
    <row r="10" spans="1:15" x14ac:dyDescent="0.2">
      <c r="O10">
        <v>0</v>
      </c>
    </row>
    <row r="11" spans="1:15" x14ac:dyDescent="0.2">
      <c r="F11" t="s">
        <v>12</v>
      </c>
      <c r="G11" s="6">
        <f>Stamdata!B9</f>
        <v>900</v>
      </c>
      <c r="H11" t="s">
        <v>13</v>
      </c>
      <c r="J11" t="s">
        <v>12</v>
      </c>
      <c r="K11" s="6">
        <f>G11</f>
        <v>900</v>
      </c>
      <c r="L11" t="s">
        <v>13</v>
      </c>
    </row>
    <row r="12" spans="1:15" x14ac:dyDescent="0.2">
      <c r="F12" t="s">
        <v>14</v>
      </c>
      <c r="G12" s="6">
        <f>IF(C7=O6,Stamdata!B10*C5,IF(C7=O5,Stamdata!B11*C5,0))</f>
        <v>2437.5</v>
      </c>
      <c r="H12" t="s">
        <v>13</v>
      </c>
      <c r="J12" t="s">
        <v>14</v>
      </c>
      <c r="K12" s="6">
        <f>G12</f>
        <v>2437.5</v>
      </c>
      <c r="L12" t="s">
        <v>13</v>
      </c>
      <c r="O12" t="s">
        <v>15</v>
      </c>
    </row>
    <row r="13" spans="1:15" x14ac:dyDescent="0.2">
      <c r="F13" t="s">
        <v>16</v>
      </c>
      <c r="G13" s="6">
        <f>IF(C6=O8,Stamdata!F30,IF(C6=O9,Stamdata!F23,IF(C6=O10,Stamdata!F30*20)))</f>
        <v>1702.9999999999998</v>
      </c>
      <c r="H13" t="s">
        <v>13</v>
      </c>
      <c r="J13" t="s">
        <v>16</v>
      </c>
      <c r="K13" s="6">
        <f>G13</f>
        <v>1702.9999999999998</v>
      </c>
      <c r="L13" t="s">
        <v>13</v>
      </c>
      <c r="O13" s="15" t="s">
        <v>17</v>
      </c>
    </row>
    <row r="14" spans="1:15" x14ac:dyDescent="0.2">
      <c r="O14" t="s">
        <v>18</v>
      </c>
    </row>
    <row r="15" spans="1:15" x14ac:dyDescent="0.2">
      <c r="G15" s="6"/>
      <c r="J15" t="s">
        <v>19</v>
      </c>
      <c r="K15" s="6">
        <f>12*Stamdata!B13</f>
        <v>2388</v>
      </c>
      <c r="L15" t="s">
        <v>20</v>
      </c>
    </row>
    <row r="16" spans="1:15" x14ac:dyDescent="0.2">
      <c r="G16" s="6"/>
      <c r="K16" s="6"/>
    </row>
    <row r="17" spans="1:13" x14ac:dyDescent="0.2">
      <c r="G17" s="6"/>
      <c r="K17" s="6"/>
    </row>
    <row r="18" spans="1:13" x14ac:dyDescent="0.2">
      <c r="F18" s="18" t="str">
        <f>IF(C6=O10,O14,IF(C6=O8,O12&amp;O8&amp;O13,IF(C6=O9,O12&amp;O9&amp;O13,"")))</f>
        <v>Konverteringsbidraget betales i 30 år</v>
      </c>
      <c r="G18" s="18"/>
      <c r="H18" s="18"/>
      <c r="I18" s="18"/>
      <c r="J18" s="18"/>
      <c r="K18" s="18"/>
      <c r="L18" s="18"/>
      <c r="M18" s="18"/>
    </row>
    <row r="19" spans="1:13" x14ac:dyDescent="0.2">
      <c r="G19" s="6"/>
      <c r="K19" s="6"/>
    </row>
    <row r="20" spans="1:13" x14ac:dyDescent="0.2">
      <c r="G20" s="6"/>
      <c r="K20" s="6"/>
    </row>
    <row r="21" spans="1:13" ht="15.75" x14ac:dyDescent="0.25">
      <c r="A21" s="7"/>
      <c r="B21" s="7"/>
      <c r="C21" s="7"/>
      <c r="D21" s="7"/>
      <c r="E21" s="7"/>
      <c r="F21" s="8" t="s">
        <v>21</v>
      </c>
      <c r="G21" s="9">
        <f>IF(C6=O10,G11+G12,G11+G12+G13)</f>
        <v>5040.5</v>
      </c>
      <c r="H21" s="8" t="s">
        <v>13</v>
      </c>
      <c r="I21" s="7"/>
      <c r="J21" s="8" t="s">
        <v>21</v>
      </c>
      <c r="K21" s="9">
        <f>IF(C6=O10,K11+K12+K15,K11+K12+K13+K15)</f>
        <v>7428.5</v>
      </c>
      <c r="L21" s="8" t="s">
        <v>13</v>
      </c>
      <c r="M21" s="7"/>
    </row>
    <row r="22" spans="1:13" ht="15" x14ac:dyDescent="0.25">
      <c r="F22" s="17" t="s">
        <v>22</v>
      </c>
      <c r="G22" s="17"/>
      <c r="H22" s="17"/>
      <c r="I22" s="17"/>
      <c r="J22" s="17"/>
      <c r="K22" s="17"/>
      <c r="L22" s="17"/>
      <c r="M22" s="17"/>
    </row>
    <row r="23" spans="1:13" ht="15" x14ac:dyDescent="0.25">
      <c r="B23" s="10" t="s">
        <v>23</v>
      </c>
      <c r="G23" s="6"/>
    </row>
    <row r="24" spans="1:13" x14ac:dyDescent="0.2">
      <c r="B24" t="s">
        <v>24</v>
      </c>
      <c r="J24" s="6"/>
    </row>
    <row r="27" spans="1:13" x14ac:dyDescent="0.2">
      <c r="B27" s="11"/>
      <c r="C27" t="s">
        <v>25</v>
      </c>
    </row>
    <row r="29" spans="1:13" x14ac:dyDescent="0.2">
      <c r="J29" s="6"/>
    </row>
  </sheetData>
  <sheetProtection algorithmName="SHA-512" hashValue="TsoLPEXkfriOTCops+3+nffyAdqKPBqFlj/ddgNpTxzROQ8ut8nxEtRbahKklb8BOAV9y4Roo4dO6o9Gsj0b6g==" saltValue="Rmeb2MYEks14SfNQeOsH6w==" spinCount="100000" sheet="1" objects="1" scenarios="1"/>
  <mergeCells count="2">
    <mergeCell ref="F22:M22"/>
    <mergeCell ref="F18:M18"/>
  </mergeCells>
  <dataValidations count="2">
    <dataValidation type="list" allowBlank="1" showInputMessage="1" showErrorMessage="1" sqref="C7" xr:uid="{8DF92F49-8620-4172-AF96-4C2256B7F24E}">
      <formula1>$O$5:$O$6</formula1>
    </dataValidation>
    <dataValidation type="list" allowBlank="1" showInputMessage="1" showErrorMessage="1" sqref="C6" xr:uid="{49427220-F6A6-42E9-AEDE-88D0637B473B}">
      <formula1>$O$8:$O$10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B00F-E0D0-4721-A4A2-6B0AA773D638}">
  <dimension ref="A5:G30"/>
  <sheetViews>
    <sheetView workbookViewId="0">
      <selection activeCell="D32" sqref="D32"/>
    </sheetView>
  </sheetViews>
  <sheetFormatPr defaultRowHeight="14.25" x14ac:dyDescent="0.2"/>
  <cols>
    <col min="1" max="1" width="30.125" bestFit="1" customWidth="1"/>
    <col min="2" max="2" width="17.25" bestFit="1" customWidth="1"/>
    <col min="3" max="3" width="8.75" bestFit="1" customWidth="1"/>
    <col min="4" max="4" width="14.625" customWidth="1"/>
    <col min="5" max="5" width="2.375" customWidth="1"/>
  </cols>
  <sheetData>
    <row r="5" spans="1:4" x14ac:dyDescent="0.2">
      <c r="A5" t="s">
        <v>26</v>
      </c>
      <c r="B5" t="s">
        <v>27</v>
      </c>
    </row>
    <row r="6" spans="1:4" x14ac:dyDescent="0.2">
      <c r="A6" t="s">
        <v>28</v>
      </c>
    </row>
    <row r="9" spans="1:4" x14ac:dyDescent="0.2">
      <c r="A9" t="s">
        <v>12</v>
      </c>
      <c r="B9">
        <v>900</v>
      </c>
      <c r="C9" t="s">
        <v>13</v>
      </c>
    </row>
    <row r="10" spans="1:4" x14ac:dyDescent="0.2">
      <c r="A10" t="s">
        <v>29</v>
      </c>
      <c r="B10">
        <v>18.75</v>
      </c>
      <c r="C10" t="s">
        <v>30</v>
      </c>
    </row>
    <row r="11" spans="1:4" x14ac:dyDescent="0.2">
      <c r="A11" t="s">
        <v>31</v>
      </c>
      <c r="B11">
        <v>9.375</v>
      </c>
      <c r="C11" t="s">
        <v>30</v>
      </c>
    </row>
    <row r="12" spans="1:4" x14ac:dyDescent="0.2">
      <c r="A12" t="s">
        <v>32</v>
      </c>
      <c r="B12">
        <v>0.49299999999999999</v>
      </c>
      <c r="C12" t="s">
        <v>33</v>
      </c>
    </row>
    <row r="13" spans="1:4" x14ac:dyDescent="0.2">
      <c r="A13" t="s">
        <v>19</v>
      </c>
      <c r="B13" s="6">
        <v>199</v>
      </c>
      <c r="C13" t="s">
        <v>34</v>
      </c>
    </row>
    <row r="14" spans="1:4" x14ac:dyDescent="0.2">
      <c r="A14" t="s">
        <v>35</v>
      </c>
      <c r="B14">
        <v>362</v>
      </c>
      <c r="C14" t="s">
        <v>13</v>
      </c>
      <c r="D14" t="s">
        <v>36</v>
      </c>
    </row>
    <row r="17" spans="1:7" x14ac:dyDescent="0.2">
      <c r="F17" t="s">
        <v>37</v>
      </c>
    </row>
    <row r="18" spans="1:7" x14ac:dyDescent="0.2">
      <c r="A18" t="s">
        <v>38</v>
      </c>
      <c r="B18" s="12">
        <f>B25/30*20</f>
        <v>13.099999999999998</v>
      </c>
      <c r="C18" t="s">
        <v>30</v>
      </c>
      <c r="D18" t="s">
        <v>39</v>
      </c>
      <c r="F18">
        <f>'Beregn Faste Bidrag'!C5</f>
        <v>130</v>
      </c>
    </row>
    <row r="19" spans="1:7" x14ac:dyDescent="0.2">
      <c r="A19" t="s">
        <v>40</v>
      </c>
      <c r="B19" s="12">
        <f>$B$18*(1-D19)</f>
        <v>13.099999999999998</v>
      </c>
      <c r="C19" t="s">
        <v>30</v>
      </c>
      <c r="D19" s="13">
        <v>0</v>
      </c>
      <c r="F19" s="6">
        <f>IF(F18&gt;150,150*B19,F18*B19)</f>
        <v>1702.9999999999998</v>
      </c>
      <c r="G19" s="6"/>
    </row>
    <row r="20" spans="1:7" x14ac:dyDescent="0.2">
      <c r="A20" t="s">
        <v>41</v>
      </c>
      <c r="B20" s="12">
        <f t="shared" ref="B20:B22" si="0">$B$18*(1-D20)</f>
        <v>9.8249999999999993</v>
      </c>
      <c r="C20" t="s">
        <v>30</v>
      </c>
      <c r="D20" s="13">
        <v>0.25</v>
      </c>
      <c r="F20" s="6">
        <f>IF(F18&lt;150,0,IF(F18&gt;=200,50*B20,(F18-150)*B20))</f>
        <v>0</v>
      </c>
      <c r="G20" s="6"/>
    </row>
    <row r="21" spans="1:7" x14ac:dyDescent="0.2">
      <c r="A21" t="s">
        <v>42</v>
      </c>
      <c r="B21" s="12">
        <f t="shared" si="0"/>
        <v>6.5499999999999989</v>
      </c>
      <c r="C21" t="s">
        <v>30</v>
      </c>
      <c r="D21" s="13">
        <v>0.5</v>
      </c>
      <c r="F21" s="6">
        <f>IF(F18&lt;200,0,IF(F18&gt;=250,50*B21,(F18-200)*B21))</f>
        <v>0</v>
      </c>
      <c r="G21" s="6"/>
    </row>
    <row r="22" spans="1:7" x14ac:dyDescent="0.2">
      <c r="A22" t="s">
        <v>43</v>
      </c>
      <c r="B22" s="12">
        <f t="shared" si="0"/>
        <v>3.2749999999999995</v>
      </c>
      <c r="C22" t="s">
        <v>30</v>
      </c>
      <c r="D22" s="13">
        <v>0.75</v>
      </c>
      <c r="F22" s="6">
        <f>IF(F18&lt;250,0,(F18-250)*B22)</f>
        <v>0</v>
      </c>
      <c r="G22" s="6"/>
    </row>
    <row r="23" spans="1:7" x14ac:dyDescent="0.2">
      <c r="F23" s="6">
        <f>SUM(F19:F22)</f>
        <v>1702.9999999999998</v>
      </c>
      <c r="G23" s="6"/>
    </row>
    <row r="25" spans="1:7" x14ac:dyDescent="0.2">
      <c r="A25" t="s">
        <v>44</v>
      </c>
      <c r="B25" s="14">
        <v>19.649999999999999</v>
      </c>
      <c r="C25" t="s">
        <v>30</v>
      </c>
      <c r="D25" t="s">
        <v>39</v>
      </c>
      <c r="F25">
        <f>F18</f>
        <v>130</v>
      </c>
    </row>
    <row r="26" spans="1:7" x14ac:dyDescent="0.2">
      <c r="A26" t="s">
        <v>40</v>
      </c>
      <c r="B26" s="12">
        <f>$B$25*(1-D26)</f>
        <v>19.649999999999999</v>
      </c>
      <c r="C26" t="s">
        <v>30</v>
      </c>
      <c r="D26" s="13">
        <v>0</v>
      </c>
      <c r="F26" s="6">
        <f>IF(F25&gt;150,150*B26,F25*B26)</f>
        <v>2554.5</v>
      </c>
      <c r="G26" s="6"/>
    </row>
    <row r="27" spans="1:7" x14ac:dyDescent="0.2">
      <c r="A27" t="s">
        <v>41</v>
      </c>
      <c r="B27" s="12">
        <f t="shared" ref="B27:B29" si="1">$B$25*(1-D27)</f>
        <v>14.737499999999999</v>
      </c>
      <c r="C27" t="s">
        <v>30</v>
      </c>
      <c r="D27" s="13">
        <v>0.25</v>
      </c>
      <c r="F27" s="6">
        <f>IF(F25&lt;150,0,IF(F25&gt;=200,50*B27,(F25-150)*B27))</f>
        <v>0</v>
      </c>
      <c r="G27" s="6"/>
    </row>
    <row r="28" spans="1:7" x14ac:dyDescent="0.2">
      <c r="A28" t="s">
        <v>42</v>
      </c>
      <c r="B28" s="12">
        <f t="shared" si="1"/>
        <v>9.8249999999999993</v>
      </c>
      <c r="C28" t="s">
        <v>30</v>
      </c>
      <c r="D28" s="13">
        <v>0.5</v>
      </c>
      <c r="F28" s="6">
        <f>IF(F25&lt;200,0,IF(F25&gt;=250,50*B28,(F25-200)*B28))</f>
        <v>0</v>
      </c>
      <c r="G28" s="6"/>
    </row>
    <row r="29" spans="1:7" x14ac:dyDescent="0.2">
      <c r="A29" t="s">
        <v>43</v>
      </c>
      <c r="B29" s="12">
        <f t="shared" si="1"/>
        <v>4.9124999999999996</v>
      </c>
      <c r="C29" t="s">
        <v>30</v>
      </c>
      <c r="D29" s="13">
        <v>0.75</v>
      </c>
      <c r="F29" s="6">
        <f>IF(F25&lt;250,0,(F25-250)*B29)</f>
        <v>0</v>
      </c>
      <c r="G29" s="6"/>
    </row>
    <row r="30" spans="1:7" x14ac:dyDescent="0.2">
      <c r="F30" s="6">
        <f>SUM(F26:F29)</f>
        <v>2554.5</v>
      </c>
      <c r="G30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EB2942FF8C274F974594D2DB458E82" ma:contentTypeVersion="12" ma:contentTypeDescription="Opret et nyt dokument." ma:contentTypeScope="" ma:versionID="8f558ce2470bfcf76b8e69413198131e">
  <xsd:schema xmlns:xsd="http://www.w3.org/2001/XMLSchema" xmlns:xs="http://www.w3.org/2001/XMLSchema" xmlns:p="http://schemas.microsoft.com/office/2006/metadata/properties" xmlns:ns2="61ef5d9e-8d90-4645-8c48-7bc7b455beca" xmlns:ns3="577e1d77-452f-4cc0-a544-d53b6c49d681" targetNamespace="http://schemas.microsoft.com/office/2006/metadata/properties" ma:root="true" ma:fieldsID="97bd1573feab571140df3852277f2dbb" ns2:_="" ns3:_="">
    <xsd:import namespace="61ef5d9e-8d90-4645-8c48-7bc7b455beca"/>
    <xsd:import namespace="577e1d77-452f-4cc0-a544-d53b6c49d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f5d9e-8d90-4645-8c48-7bc7b455be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110f31df-e637-4adf-88ed-95c36f4fa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1d77-452f-4cc0-a544-d53b6c49d68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ece4c3-9437-4b9b-978f-3b3aa222a138}" ma:internalName="TaxCatchAll" ma:showField="CatchAllData" ma:web="577e1d77-452f-4cc0-a544-d53b6c49d6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7e1d77-452f-4cc0-a544-d53b6c49d681" xsi:nil="true"/>
    <lcf76f155ced4ddcb4097134ff3c332f xmlns="61ef5d9e-8d90-4645-8c48-7bc7b455beca">
      <Terms xmlns="http://schemas.microsoft.com/office/infopath/2007/PartnerControls"/>
    </lcf76f155ced4ddcb4097134ff3c332f>
    <SharedWithUsers xmlns="577e1d77-452f-4cc0-a544-d53b6c49d681">
      <UserInfo>
        <DisplayName>Katrine Thornild</DisplayName>
        <AccountId>38</AccountId>
        <AccountType/>
      </UserInfo>
      <UserInfo>
        <DisplayName>Anneline Birch Højrup</DisplayName>
        <AccountId>27</AccountId>
        <AccountType/>
      </UserInfo>
      <UserInfo>
        <DisplayName>Silvia Ringgaard</DisplayName>
        <AccountId>33</AccountId>
        <AccountType/>
      </UserInfo>
      <UserInfo>
        <DisplayName>Anders Lund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FC111BD-03F6-47BE-A283-CE5E40B303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187F5-8A5B-4825-9C7E-DECEB9A5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f5d9e-8d90-4645-8c48-7bc7b455beca"/>
    <ds:schemaRef ds:uri="577e1d77-452f-4cc0-a544-d53b6c49d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05629-47FD-4B0F-A98E-B33C2EAE66B0}">
  <ds:schemaRefs>
    <ds:schemaRef ds:uri="http://schemas.microsoft.com/office/2006/metadata/properties"/>
    <ds:schemaRef ds:uri="http://schemas.microsoft.com/office/infopath/2007/PartnerControls"/>
    <ds:schemaRef ds:uri="577e1d77-452f-4cc0-a544-d53b6c49d681"/>
    <ds:schemaRef ds:uri="61ef5d9e-8d90-4645-8c48-7bc7b455be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 Faste Bidrag</vt:lpstr>
      <vt:lpstr>Stamdata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Lund</dc:creator>
  <cp:keywords/>
  <dc:description/>
  <cp:lastModifiedBy>Anders Lund</cp:lastModifiedBy>
  <cp:revision/>
  <dcterms:created xsi:type="dcterms:W3CDTF">2022-10-06T05:48:54Z</dcterms:created>
  <dcterms:modified xsi:type="dcterms:W3CDTF">2022-10-10T11:09:12Z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0x010100B8EB2942FF8C274F974594D2DB458E82</vt:lpwstr>
  </property>
</Properties>
</file>